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10" windowHeight="7485"/>
  </bookViews>
  <sheets>
    <sheet name="tabc2" sheetId="1" r:id="rId1"/>
  </sheets>
  <definedNames>
    <definedName name="CHART">#REF!</definedName>
    <definedName name="_xlnm.Print_Area">#REF!</definedName>
    <definedName name="Print_Area_MI" localSheetId="0">tabc2!$A$1:$F$50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43" i="1" l="1"/>
  <c r="D44" i="1"/>
  <c r="C43" i="1"/>
  <c r="B44" i="1"/>
  <c r="C44" i="1" l="1"/>
  <c r="F44" i="1"/>
  <c r="D42" i="1"/>
  <c r="C42" i="1"/>
  <c r="B42" i="1"/>
  <c r="F42" i="1" s="1"/>
  <c r="D40" i="1"/>
  <c r="C40" i="1"/>
  <c r="B40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B22" i="1"/>
  <c r="E21" i="1"/>
  <c r="D21" i="1"/>
  <c r="C21" i="1"/>
  <c r="B21" i="1"/>
  <c r="E20" i="1"/>
  <c r="D20" i="1"/>
  <c r="C20" i="1"/>
  <c r="B20" i="1"/>
  <c r="E18" i="1"/>
  <c r="D18" i="1"/>
  <c r="C18" i="1"/>
  <c r="B18" i="1"/>
  <c r="B17" i="1"/>
  <c r="D14" i="1"/>
  <c r="D13" i="1"/>
  <c r="C13" i="1"/>
  <c r="D11" i="1"/>
  <c r="C11" i="1"/>
  <c r="B11" i="1"/>
  <c r="C10" i="1"/>
  <c r="B10" i="1"/>
  <c r="D9" i="1"/>
  <c r="B9" i="1"/>
  <c r="D8" i="1"/>
  <c r="C8" i="1"/>
  <c r="E7" i="1"/>
  <c r="C7" i="1"/>
  <c r="B7" i="1"/>
  <c r="E6" i="1"/>
  <c r="D6" i="1"/>
  <c r="B6" i="1"/>
</calcChain>
</file>

<file path=xl/sharedStrings.xml><?xml version="1.0" encoding="utf-8"?>
<sst xmlns="http://schemas.openxmlformats.org/spreadsheetml/2006/main" count="54" uniqueCount="50">
  <si>
    <t>Season 1/</t>
  </si>
  <si>
    <t>Florida</t>
  </si>
  <si>
    <t>California</t>
  </si>
  <si>
    <t>Texas</t>
  </si>
  <si>
    <t>Arizona</t>
  </si>
  <si>
    <t>United States 2/</t>
  </si>
  <si>
    <t>-- 1,000 short tons --</t>
  </si>
  <si>
    <t>1980/81</t>
  </si>
  <si>
    <t>1981/82</t>
  </si>
  <si>
    <t>1982/83</t>
  </si>
  <si>
    <t>1983/84</t>
  </si>
  <si>
    <t>1984/85</t>
  </si>
  <si>
    <t xml:space="preserve">    3/</t>
  </si>
  <si>
    <t>1985/86</t>
  </si>
  <si>
    <t>1986/87</t>
  </si>
  <si>
    <t>1987/88</t>
  </si>
  <si>
    <t xml:space="preserve">1988/89 </t>
  </si>
  <si>
    <t>1989/90</t>
  </si>
  <si>
    <t>1990/91</t>
  </si>
  <si>
    <t xml:space="preserve">      4/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</si>
  <si>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</si>
  <si>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</si>
  <si>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</si>
  <si>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</si>
  <si>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</si>
  <si>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</si>
  <si>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</si>
  <si>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</si>
  <si>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</si>
  <si>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</si>
  <si>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</si>
  <si>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</si>
  <si>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</si>
  <si>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</si>
  <si>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</si>
  <si>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</si>
  <si>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</si>
  <si>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</si>
  <si>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 xml:space="preserve">     na</t>
  </si>
  <si>
    <t>2010/11</t>
  </si>
  <si>
    <t>2011/12</t>
  </si>
  <si>
    <t>2012/13</t>
  </si>
  <si>
    <t xml:space="preserve"> commercial supplies were harvested.</t>
  </si>
  <si>
    <t>2013/14</t>
  </si>
  <si>
    <r>
      <t xml:space="preserve"> Source: USDA, National Agricultural Statistics Service, </t>
    </r>
    <r>
      <rPr>
        <i/>
        <sz val="7"/>
        <rFont val="Helvetica"/>
        <family val="2"/>
      </rPr>
      <t>Citrus Fruits Summary,</t>
    </r>
    <r>
      <rPr>
        <sz val="7"/>
        <rFont val="Helvetica"/>
        <family val="2"/>
      </rPr>
      <t xml:space="preserve"> various issues.</t>
    </r>
  </si>
  <si>
    <t xml:space="preserve"> na = not available.</t>
  </si>
  <si>
    <t xml:space="preserve"> 1/ Season begins in November in Arizona and California; September in Florida; and October in Texas. 2/ Some totals may not add due to rounding.</t>
  </si>
  <si>
    <t xml:space="preserve"> 3/ Due to the severe freeze of December 1983, no commercial supplies were harvested.  4/ Due to the severe freeze of December 1989, no</t>
  </si>
  <si>
    <t>1999/00</t>
  </si>
  <si>
    <t>Table C-2--Grapefruit: Production, by State, 1980/81 to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</si>
</sst>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____________)"/>
    <numFmt numFmtId="166" formatCode="#,##0_______________)"/>
  </numFmts>
  <fonts count="7">
    <font>
      <sz val="9"/>
      <name val="Arial MT"/>
    </font>
    <font>
      <sz val="8"/>
      <name val="Helvetica"/>
      <family val="2"/>
    </font>
    <font>
      <i/>
      <sz val="8"/>
      <name val="Helvetica"/>
      <family val="2"/>
    </font>
    <font>
      <sz val="7"/>
      <name val="Helvetica"/>
      <family val="2"/>
    </font>
    <font>
      <i/>
      <sz val="7"/>
      <name val="Helvetica"/>
      <family val="2"/>
    </font>
    <font>
      <sz val="10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left" indent="1"/>
    </xf>
    <xf numFmtId="165" fontId="1" fillId="0" borderId="0" xfId="0" applyNumberFormat="1" applyFont="1" applyProtection="1"/>
    <xf numFmtId="166" fontId="1" fillId="0" borderId="0" xfId="0" applyNumberFormat="1" applyFont="1" applyProtection="1"/>
    <xf numFmtId="166" fontId="1" fillId="0" borderId="0" xfId="0" applyNumberFormat="1" applyFont="1" applyAlignment="1" applyProtection="1">
      <alignment horizontal="right"/>
    </xf>
    <xf numFmtId="166" fontId="1" fillId="0" borderId="0" xfId="0" quotePrefix="1" applyNumberFormat="1" applyFont="1" applyAlignment="1" applyProtection="1">
      <alignment horizontal="center"/>
    </xf>
    <xf numFmtId="0" fontId="1" fillId="0" borderId="0" xfId="0" applyFont="1" applyBorder="1" applyAlignment="1">
      <alignment horizontal="left" indent="1"/>
    </xf>
    <xf numFmtId="165" fontId="1" fillId="0" borderId="0" xfId="0" applyNumberFormat="1" applyFont="1" applyBorder="1" applyProtection="1"/>
    <xf numFmtId="166" fontId="1" fillId="0" borderId="0" xfId="0" applyNumberFormat="1" applyFont="1" applyBorder="1" applyProtection="1"/>
    <xf numFmtId="0" fontId="1" fillId="0" borderId="0" xfId="0" quotePrefix="1" applyFont="1" applyBorder="1" applyAlignment="1">
      <alignment horizontal="left" indent="1"/>
    </xf>
    <xf numFmtId="165" fontId="0" fillId="0" borderId="0" xfId="0" applyNumberFormat="1"/>
    <xf numFmtId="166" fontId="1" fillId="0" borderId="0" xfId="0" quotePrefix="1" applyNumberFormat="1" applyFont="1" applyBorder="1" applyAlignment="1" applyProtection="1">
      <alignment horizontal="center"/>
    </xf>
    <xf numFmtId="165" fontId="0" fillId="0" borderId="0" xfId="0" applyNumberFormat="1" applyBorder="1"/>
    <xf numFmtId="0" fontId="0" fillId="0" borderId="0" xfId="0" applyBorder="1"/>
    <xf numFmtId="0" fontId="1" fillId="0" borderId="2" xfId="0" applyFont="1" applyBorder="1" applyAlignment="1">
      <alignment horizontal="left" indent="1"/>
    </xf>
    <xf numFmtId="165" fontId="1" fillId="0" borderId="2" xfId="0" applyNumberFormat="1" applyFont="1" applyBorder="1" applyProtection="1"/>
    <xf numFmtId="166" fontId="1" fillId="0" borderId="2" xfId="0" applyNumberFormat="1" applyFont="1" applyBorder="1" applyProtection="1"/>
    <xf numFmtId="166" fontId="1" fillId="0" borderId="2" xfId="0" quotePrefix="1" applyNumberFormat="1" applyFont="1" applyBorder="1" applyAlignment="1" applyProtection="1">
      <alignment horizontal="center"/>
    </xf>
    <xf numFmtId="0" fontId="3" fillId="0" borderId="0" xfId="0" applyFont="1" applyBorder="1" applyAlignment="1"/>
    <xf numFmtId="165" fontId="3" fillId="0" borderId="0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0" xfId="0" quotePrefix="1" applyNumberFormat="1" applyFont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10">
    <cellStyle name="Comma 2" xfId="1"/>
    <cellStyle name="Comma 3" xfId="2"/>
    <cellStyle name="Comma 4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9"/>
  <sheetViews>
    <sheetView showGridLines="0" tabSelected="1" zoomScale="140" zoomScaleNormal="140" zoomScaleSheetLayoutView="100" workbookViewId="0">
      <selection activeCell="G11" sqref="G11"/>
    </sheetView>
  </sheetViews>
  <sheetFormatPr defaultColWidth="9.7109375" defaultRowHeight="12"/>
  <cols>
    <col min="1" max="1" width="11.140625" customWidth="1"/>
    <col min="2" max="6" width="18.140625" customWidth="1"/>
    <col min="7" max="7" width="14.140625" bestFit="1" customWidth="1"/>
  </cols>
  <sheetData>
    <row r="1" spans="1:6">
      <c r="A1" s="1" t="s">
        <v>49</v>
      </c>
      <c r="B1" s="2"/>
      <c r="C1" s="2"/>
      <c r="D1" s="2"/>
      <c r="E1" s="2"/>
      <c r="F1" s="2"/>
    </row>
    <row r="2" spans="1:6" ht="13.1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3.95" customHeight="1">
      <c r="A3" s="4"/>
      <c r="B3" s="4"/>
      <c r="C3" s="4"/>
      <c r="D3" s="4"/>
      <c r="E3" s="4"/>
      <c r="F3" s="4"/>
    </row>
    <row r="4" spans="1:6" ht="10.15" customHeight="1">
      <c r="A4" s="5"/>
      <c r="B4" s="6" t="s">
        <v>6</v>
      </c>
      <c r="C4" s="7"/>
      <c r="D4" s="7"/>
      <c r="E4" s="7"/>
      <c r="F4" s="7"/>
    </row>
    <row r="5" spans="1:6" ht="3" customHeight="1">
      <c r="A5" s="5"/>
      <c r="B5" s="8"/>
      <c r="C5" s="8"/>
      <c r="D5" s="8"/>
      <c r="E5" s="8"/>
      <c r="F5" s="8"/>
    </row>
    <row r="6" spans="1:6" ht="10.15" customHeight="1">
      <c r="A6" s="9" t="s">
        <v>7</v>
      </c>
      <c r="B6" s="10">
        <f>50300*85/2000</f>
        <v>2137.75</v>
      </c>
      <c r="C6" s="11">
        <v>263</v>
      </c>
      <c r="D6" s="11">
        <f>6700*80/2000</f>
        <v>268</v>
      </c>
      <c r="E6" s="11">
        <f>2800*64/2000</f>
        <v>89.6</v>
      </c>
      <c r="F6" s="10">
        <v>2759</v>
      </c>
    </row>
    <row r="7" spans="1:6" ht="10.15" customHeight="1">
      <c r="A7" s="9" t="s">
        <v>8</v>
      </c>
      <c r="B7" s="10">
        <f>48100*85/2000</f>
        <v>2044.25</v>
      </c>
      <c r="C7" s="11">
        <f>3400*64/2000+2750*67/2000</f>
        <v>200.92500000000001</v>
      </c>
      <c r="D7" s="11">
        <v>556</v>
      </c>
      <c r="E7" s="11">
        <f>2400*64/2000</f>
        <v>76.8</v>
      </c>
      <c r="F7" s="10">
        <v>2877.9750000000004</v>
      </c>
    </row>
    <row r="8" spans="1:6" ht="10.15" customHeight="1">
      <c r="A8" s="9" t="s">
        <v>9</v>
      </c>
      <c r="B8" s="10">
        <v>1674</v>
      </c>
      <c r="C8" s="11">
        <f>4100*64/2000+3200*67/2000</f>
        <v>238.39999999999998</v>
      </c>
      <c r="D8" s="11">
        <f>11200*80/2000</f>
        <v>448</v>
      </c>
      <c r="E8" s="11">
        <v>105</v>
      </c>
      <c r="F8" s="10">
        <v>2465.4</v>
      </c>
    </row>
    <row r="9" spans="1:6" ht="10.15" customHeight="1">
      <c r="A9" s="9" t="s">
        <v>10</v>
      </c>
      <c r="B9" s="10">
        <f>40900*85/2000</f>
        <v>1738.25</v>
      </c>
      <c r="C9" s="11">
        <v>238</v>
      </c>
      <c r="D9" s="12">
        <f>3200*80/2000</f>
        <v>128</v>
      </c>
      <c r="E9" s="11">
        <v>80</v>
      </c>
      <c r="F9" s="10">
        <v>2184.25</v>
      </c>
    </row>
    <row r="10" spans="1:6" ht="10.15" customHeight="1">
      <c r="A10" s="9" t="s">
        <v>11</v>
      </c>
      <c r="B10" s="10">
        <f>44000*85/2000</f>
        <v>1870</v>
      </c>
      <c r="C10" s="11">
        <f>3800*64/2000+5000*67/2000</f>
        <v>289.10000000000002</v>
      </c>
      <c r="D10" s="13" t="s">
        <v>12</v>
      </c>
      <c r="E10" s="11">
        <v>107</v>
      </c>
      <c r="F10" s="10">
        <v>2266.1</v>
      </c>
    </row>
    <row r="11" spans="1:6" ht="10.15" customHeight="1">
      <c r="A11" s="9" t="s">
        <v>13</v>
      </c>
      <c r="B11" s="10">
        <f>46750*85/2000</f>
        <v>1986.875</v>
      </c>
      <c r="C11" s="11">
        <f>3600*64/2000+4500*67/2000</f>
        <v>265.95</v>
      </c>
      <c r="D11" s="12">
        <f>220*80/2000</f>
        <v>8.8000000000000007</v>
      </c>
      <c r="E11" s="11">
        <v>90</v>
      </c>
      <c r="F11" s="10">
        <v>2352</v>
      </c>
    </row>
    <row r="12" spans="1:6" ht="3" customHeight="1">
      <c r="A12" s="9"/>
      <c r="B12" s="10"/>
      <c r="C12" s="11"/>
      <c r="D12" s="12"/>
      <c r="E12" s="11"/>
      <c r="F12" s="10"/>
    </row>
    <row r="13" spans="1:6" ht="10.15" customHeight="1">
      <c r="A13" s="9" t="s">
        <v>14</v>
      </c>
      <c r="B13" s="10">
        <v>2116</v>
      </c>
      <c r="C13" s="11">
        <f>4300*64/2000+5000*67/2000</f>
        <v>305.10000000000002</v>
      </c>
      <c r="D13" s="12">
        <f>1925*80/2000</f>
        <v>77</v>
      </c>
      <c r="E13" s="11">
        <v>88</v>
      </c>
      <c r="F13" s="10">
        <v>2586</v>
      </c>
    </row>
    <row r="14" spans="1:6" ht="10.15" customHeight="1">
      <c r="A14" s="9" t="s">
        <v>15</v>
      </c>
      <c r="B14" s="10">
        <v>2289</v>
      </c>
      <c r="C14" s="11">
        <v>298</v>
      </c>
      <c r="D14" s="12">
        <f>3800*80/2000</f>
        <v>152</v>
      </c>
      <c r="E14" s="11">
        <v>62</v>
      </c>
      <c r="F14" s="10">
        <v>2801</v>
      </c>
    </row>
    <row r="15" spans="1:6" ht="10.15" customHeight="1">
      <c r="A15" s="9" t="s">
        <v>16</v>
      </c>
      <c r="B15" s="10">
        <v>2327</v>
      </c>
      <c r="C15" s="11">
        <v>263</v>
      </c>
      <c r="D15" s="12">
        <v>192</v>
      </c>
      <c r="E15" s="11">
        <v>62</v>
      </c>
      <c r="F15" s="10">
        <v>2844</v>
      </c>
    </row>
    <row r="16" spans="1:6" ht="10.15" customHeight="1">
      <c r="A16" s="9" t="s">
        <v>17</v>
      </c>
      <c r="B16" s="10">
        <v>1518</v>
      </c>
      <c r="C16" s="11">
        <v>310</v>
      </c>
      <c r="D16" s="12">
        <v>80</v>
      </c>
      <c r="E16" s="11">
        <v>70</v>
      </c>
      <c r="F16" s="10">
        <v>1978</v>
      </c>
    </row>
    <row r="17" spans="1:7" ht="10.15" customHeight="1">
      <c r="A17" s="9" t="s">
        <v>18</v>
      </c>
      <c r="B17" s="10">
        <f>45100*85/2000</f>
        <v>1916.75</v>
      </c>
      <c r="C17" s="11">
        <v>262</v>
      </c>
      <c r="D17" s="13" t="s">
        <v>19</v>
      </c>
      <c r="E17" s="11">
        <v>77</v>
      </c>
      <c r="F17" s="10">
        <v>2255.75</v>
      </c>
    </row>
    <row r="18" spans="1:7" ht="10.15" customHeight="1">
      <c r="A18" s="9" t="s">
        <v>20</v>
      </c>
      <c r="B18" s="10">
        <f>42400*85/2000</f>
        <v>1802</v>
      </c>
      <c r="C18" s="11">
        <f>3500*64/2000+6500*67/2000</f>
        <v>329.75</v>
      </c>
      <c r="D18" s="12">
        <f>65*80/2000</f>
        <v>2.6</v>
      </c>
      <c r="E18" s="11">
        <f>2800*64/2000</f>
        <v>89.6</v>
      </c>
      <c r="F18" s="10">
        <v>2223.9499999999998</v>
      </c>
    </row>
    <row r="19" spans="1:7" ht="3" customHeight="1">
      <c r="A19" s="9"/>
      <c r="B19" s="10"/>
      <c r="C19" s="11"/>
      <c r="D19" s="12"/>
      <c r="E19" s="11"/>
      <c r="F19" s="10"/>
    </row>
    <row r="20" spans="1:7" ht="10.15" customHeight="1">
      <c r="A20" s="9" t="s">
        <v>21</v>
      </c>
      <c r="B20" s="10">
        <f>55150*85/2000</f>
        <v>2343.875</v>
      </c>
      <c r="C20" s="11">
        <f>3500*64/2000+5700*67/2000</f>
        <v>302.95</v>
      </c>
      <c r="D20" s="12">
        <f>1875*80/2000</f>
        <v>75</v>
      </c>
      <c r="E20" s="11">
        <f>2150*64/2000</f>
        <v>68.8</v>
      </c>
      <c r="F20" s="10">
        <v>2791</v>
      </c>
    </row>
    <row r="21" spans="1:7" ht="10.15" customHeight="1">
      <c r="A21" s="9" t="s">
        <v>22</v>
      </c>
      <c r="B21" s="10">
        <f>51050*85/2000</f>
        <v>2169.625</v>
      </c>
      <c r="C21" s="11">
        <f>9300*67/2000</f>
        <v>311.55</v>
      </c>
      <c r="D21" s="11">
        <f>3000*80/2000</f>
        <v>120</v>
      </c>
      <c r="E21" s="11">
        <f>1750*67/2000</f>
        <v>58.625</v>
      </c>
      <c r="F21" s="10">
        <v>2661</v>
      </c>
    </row>
    <row r="22" spans="1:7" ht="10.15" customHeight="1">
      <c r="A22" s="9" t="s">
        <v>23</v>
      </c>
      <c r="B22" s="10">
        <f>55700*85/2000</f>
        <v>2367.25</v>
      </c>
      <c r="C22" s="11">
        <v>312</v>
      </c>
      <c r="D22" s="11">
        <f>4650*80/2000</f>
        <v>186</v>
      </c>
      <c r="E22" s="11">
        <f>1400*67/2000</f>
        <v>46.9</v>
      </c>
      <c r="F22" s="10">
        <v>2912</v>
      </c>
    </row>
    <row r="23" spans="1:7" ht="10.15" customHeight="1">
      <c r="A23" s="14" t="s">
        <v>24</v>
      </c>
      <c r="B23" s="15">
        <f>52350*85/2000</f>
        <v>2224.875</v>
      </c>
      <c r="C23" s="16">
        <f>8100*67/2000</f>
        <v>271.35000000000002</v>
      </c>
      <c r="D23" s="16">
        <f>4550*80/2000</f>
        <v>182</v>
      </c>
      <c r="E23" s="16">
        <f>1200*67/2000</f>
        <v>40.200000000000003</v>
      </c>
      <c r="F23" s="15">
        <v>2718</v>
      </c>
    </row>
    <row r="24" spans="1:7" ht="10.15" customHeight="1">
      <c r="A24" s="17" t="s">
        <v>25</v>
      </c>
      <c r="B24" s="15">
        <f>55800*85/2000</f>
        <v>2371.5</v>
      </c>
      <c r="C24" s="16">
        <f>8200*67/2000</f>
        <v>274.7</v>
      </c>
      <c r="D24" s="16">
        <f>5300*80/2000</f>
        <v>212</v>
      </c>
      <c r="E24" s="16">
        <f>800*67/2000</f>
        <v>26.8</v>
      </c>
      <c r="F24" s="15">
        <v>2885</v>
      </c>
    </row>
    <row r="25" spans="1:7" ht="10.15" customHeight="1">
      <c r="A25" s="17" t="s">
        <v>26</v>
      </c>
      <c r="B25" s="15">
        <f>(49550*85)/2000</f>
        <v>2105.875</v>
      </c>
      <c r="C25" s="16">
        <f>(8000*67)/2000</f>
        <v>268</v>
      </c>
      <c r="D25" s="16">
        <f>(4800*80)/2000</f>
        <v>192</v>
      </c>
      <c r="E25" s="16">
        <f>(800*67)/2000</f>
        <v>26.8</v>
      </c>
      <c r="F25" s="15">
        <v>2593</v>
      </c>
    </row>
    <row r="26" spans="1:7" ht="3" customHeight="1">
      <c r="A26" s="17"/>
      <c r="B26" s="15"/>
      <c r="C26" s="16"/>
      <c r="D26" s="16"/>
      <c r="E26" s="16"/>
      <c r="F26" s="15"/>
    </row>
    <row r="27" spans="1:7" ht="10.15" customHeight="1">
      <c r="A27" s="17" t="s">
        <v>27</v>
      </c>
      <c r="B27" s="15">
        <f>47050*85/2000</f>
        <v>1999.625</v>
      </c>
      <c r="C27" s="16">
        <f>7300*67/2000</f>
        <v>244.55</v>
      </c>
      <c r="D27" s="16">
        <f>6100*80/2000</f>
        <v>244</v>
      </c>
      <c r="E27" s="16">
        <f>750*67/2000</f>
        <v>25.125</v>
      </c>
      <c r="F27" s="15">
        <v>2513</v>
      </c>
      <c r="G27" s="18"/>
    </row>
    <row r="28" spans="1:7" ht="10.15" customHeight="1">
      <c r="A28" s="17" t="s">
        <v>48</v>
      </c>
      <c r="B28" s="15">
        <f>53400*85/2000</f>
        <v>2269.5</v>
      </c>
      <c r="C28" s="16">
        <f>7200*67/2000</f>
        <v>241.2</v>
      </c>
      <c r="D28" s="16">
        <f>5930*80/2000</f>
        <v>237.2</v>
      </c>
      <c r="E28" s="16">
        <f>450*67/2000</f>
        <v>15.074999999999999</v>
      </c>
      <c r="F28" s="15">
        <v>2763</v>
      </c>
      <c r="G28" s="18"/>
    </row>
    <row r="29" spans="1:7" ht="10.15" customHeight="1">
      <c r="A29" s="17" t="s">
        <v>28</v>
      </c>
      <c r="B29" s="15">
        <f>46000*85/2000</f>
        <v>1955</v>
      </c>
      <c r="C29" s="16">
        <f>6300*67/2000</f>
        <v>211.05</v>
      </c>
      <c r="D29" s="16">
        <f>7200*80/2000</f>
        <v>288</v>
      </c>
      <c r="E29" s="16">
        <f>250*67/2000</f>
        <v>8.375</v>
      </c>
      <c r="F29" s="15">
        <v>2462</v>
      </c>
      <c r="G29" s="18"/>
    </row>
    <row r="30" spans="1:7" ht="10.15" customHeight="1">
      <c r="A30" s="17" t="s">
        <v>29</v>
      </c>
      <c r="B30" s="15">
        <f>46700*85/2000</f>
        <v>1984.75</v>
      </c>
      <c r="C30" s="16">
        <f>5900*67/2000</f>
        <v>197.65</v>
      </c>
      <c r="D30" s="16">
        <f>5900*80/2000</f>
        <v>236</v>
      </c>
      <c r="E30" s="16">
        <f>160*67/2000</f>
        <v>5.36</v>
      </c>
      <c r="F30" s="15">
        <v>2424</v>
      </c>
      <c r="G30" s="18"/>
    </row>
    <row r="31" spans="1:7" ht="10.15" customHeight="1">
      <c r="A31" s="17" t="s">
        <v>30</v>
      </c>
      <c r="B31" s="15">
        <f>38700*85/2000</f>
        <v>1644.75</v>
      </c>
      <c r="C31" s="16">
        <f>5600*67/2000</f>
        <v>187.6</v>
      </c>
      <c r="D31" s="16">
        <f>5650*80/2000</f>
        <v>226</v>
      </c>
      <c r="E31" s="16">
        <f>130*67/2000</f>
        <v>4.3550000000000004</v>
      </c>
      <c r="F31" s="15">
        <v>2063</v>
      </c>
      <c r="G31" s="18"/>
    </row>
    <row r="32" spans="1:7" ht="10.15" customHeight="1">
      <c r="A32" s="14" t="s">
        <v>31</v>
      </c>
      <c r="B32" s="15">
        <f>40900*85/2000</f>
        <v>1738.25</v>
      </c>
      <c r="C32" s="16">
        <f>5800*67/2000</f>
        <v>194.3</v>
      </c>
      <c r="D32" s="16">
        <f>5700*80/2000</f>
        <v>228</v>
      </c>
      <c r="E32" s="16">
        <f>140*67/2000</f>
        <v>4.6900000000000004</v>
      </c>
      <c r="F32" s="15">
        <v>2165</v>
      </c>
      <c r="G32" s="18"/>
    </row>
    <row r="33" spans="1:7" ht="4.5" customHeight="1">
      <c r="A33" s="17"/>
      <c r="B33" s="15"/>
      <c r="C33" s="16"/>
      <c r="D33" s="16"/>
      <c r="E33" s="16"/>
      <c r="F33" s="15"/>
      <c r="G33" s="18"/>
    </row>
    <row r="34" spans="1:7" ht="10.15" customHeight="1">
      <c r="A34" s="14" t="s">
        <v>32</v>
      </c>
      <c r="B34" s="15">
        <f>12800*85/2000</f>
        <v>544</v>
      </c>
      <c r="C34" s="16">
        <f>6100*67/2000</f>
        <v>204.35</v>
      </c>
      <c r="D34" s="16">
        <f>6600*80/2000</f>
        <v>264</v>
      </c>
      <c r="E34" s="16">
        <f>140*67/2000</f>
        <v>4.6900000000000004</v>
      </c>
      <c r="F34" s="15">
        <v>1018</v>
      </c>
      <c r="G34" s="18"/>
    </row>
    <row r="35" spans="1:7" ht="10.15" customHeight="1">
      <c r="A35" s="14" t="s">
        <v>33</v>
      </c>
      <c r="B35" s="15">
        <f>19300*85/2000</f>
        <v>820.25</v>
      </c>
      <c r="C35" s="16">
        <f>6000*67/2000</f>
        <v>201</v>
      </c>
      <c r="D35" s="16">
        <f>5200*80/2000</f>
        <v>208</v>
      </c>
      <c r="E35" s="16">
        <f>100*67/2000</f>
        <v>3.35</v>
      </c>
      <c r="F35" s="15">
        <v>1232</v>
      </c>
      <c r="G35" s="18"/>
    </row>
    <row r="36" spans="1:7" ht="10.15" customHeight="1">
      <c r="A36" s="14" t="s">
        <v>34</v>
      </c>
      <c r="B36" s="15">
        <f>27200*85/2000</f>
        <v>1156</v>
      </c>
      <c r="C36" s="16">
        <f>5500*67/2000</f>
        <v>184.25</v>
      </c>
      <c r="D36" s="16">
        <f>7100*80/2000</f>
        <v>284</v>
      </c>
      <c r="E36" s="16">
        <f>100*67/2000</f>
        <v>3.35</v>
      </c>
      <c r="F36" s="15">
        <v>1627</v>
      </c>
      <c r="G36" s="18"/>
    </row>
    <row r="37" spans="1:7" ht="10.15" customHeight="1">
      <c r="A37" s="14" t="s">
        <v>35</v>
      </c>
      <c r="B37" s="15">
        <f>26600*85/2000</f>
        <v>1130.5</v>
      </c>
      <c r="C37" s="16">
        <f>5200*67/2000</f>
        <v>174.2</v>
      </c>
      <c r="D37" s="16">
        <f>6000*80/2000</f>
        <v>240</v>
      </c>
      <c r="E37" s="16">
        <f>100*67/2000</f>
        <v>3.35</v>
      </c>
      <c r="F37" s="15">
        <v>1548</v>
      </c>
      <c r="G37" s="18"/>
    </row>
    <row r="38" spans="1:7" ht="10.15" customHeight="1">
      <c r="A38" s="14" t="s">
        <v>36</v>
      </c>
      <c r="B38" s="15">
        <f>21700*85/2000</f>
        <v>922.25</v>
      </c>
      <c r="C38" s="16">
        <f>4800*67/2000</f>
        <v>160.80000000000001</v>
      </c>
      <c r="D38" s="16">
        <f>5500*80/2000</f>
        <v>220</v>
      </c>
      <c r="E38" s="16">
        <f>25*67/2000</f>
        <v>0.83750000000000002</v>
      </c>
      <c r="F38" s="15">
        <v>1304</v>
      </c>
      <c r="G38" s="18"/>
    </row>
    <row r="39" spans="1:7" s="21" customFormat="1" ht="10.15" customHeight="1">
      <c r="A39" s="14" t="s">
        <v>37</v>
      </c>
      <c r="B39" s="15">
        <f>20300*85/2000</f>
        <v>862.75</v>
      </c>
      <c r="C39" s="16">
        <f>4500*67/2000</f>
        <v>150.75</v>
      </c>
      <c r="D39" s="16">
        <f>5600*80/2000</f>
        <v>224</v>
      </c>
      <c r="E39" s="19" t="s">
        <v>38</v>
      </c>
      <c r="F39" s="15">
        <v>1238</v>
      </c>
      <c r="G39" s="20"/>
    </row>
    <row r="40" spans="1:7" ht="10.15" customHeight="1">
      <c r="A40" s="14" t="s">
        <v>39</v>
      </c>
      <c r="B40" s="15">
        <f>19750*85/2000</f>
        <v>839.375</v>
      </c>
      <c r="C40" s="16">
        <f>4310*80/2000</f>
        <v>172.4</v>
      </c>
      <c r="D40" s="16">
        <f>6300*80/2000</f>
        <v>252</v>
      </c>
      <c r="E40" s="19" t="s">
        <v>38</v>
      </c>
      <c r="F40" s="15">
        <v>1264</v>
      </c>
      <c r="G40" s="18"/>
    </row>
    <row r="41" spans="1:7" ht="3" customHeight="1">
      <c r="A41" s="14"/>
      <c r="B41" s="15"/>
      <c r="C41" s="16"/>
      <c r="D41" s="16"/>
      <c r="E41" s="19"/>
      <c r="F41" s="15"/>
      <c r="G41" s="18"/>
    </row>
    <row r="42" spans="1:7" ht="10.15" customHeight="1">
      <c r="A42" s="14" t="s">
        <v>40</v>
      </c>
      <c r="B42" s="15">
        <f>18850*85/2000</f>
        <v>801.125</v>
      </c>
      <c r="C42" s="16">
        <f>4000*80/2000</f>
        <v>160</v>
      </c>
      <c r="D42" s="16">
        <f>4800*80/2000</f>
        <v>192</v>
      </c>
      <c r="E42" s="19" t="s">
        <v>38</v>
      </c>
      <c r="F42" s="15">
        <f>SUM(B42:D42)</f>
        <v>1153.125</v>
      </c>
      <c r="G42" s="18"/>
    </row>
    <row r="43" spans="1:7" ht="10.15" customHeight="1">
      <c r="A43" s="14" t="s">
        <v>41</v>
      </c>
      <c r="B43" s="15">
        <v>779.875</v>
      </c>
      <c r="C43" s="16">
        <f>4500*80/2000</f>
        <v>180</v>
      </c>
      <c r="D43" s="16">
        <v>244</v>
      </c>
      <c r="E43" s="19" t="s">
        <v>38</v>
      </c>
      <c r="F43" s="15">
        <f>SUM(B43:D43)</f>
        <v>1203.875</v>
      </c>
      <c r="G43" s="18"/>
    </row>
    <row r="44" spans="1:7" ht="10.15" customHeight="1">
      <c r="A44" s="22" t="s">
        <v>43</v>
      </c>
      <c r="B44" s="23">
        <f>15650*85/2000</f>
        <v>665.125</v>
      </c>
      <c r="C44" s="24">
        <f>4000*80/2000</f>
        <v>160</v>
      </c>
      <c r="D44" s="24">
        <f>5700*80/2000</f>
        <v>228</v>
      </c>
      <c r="E44" s="25" t="s">
        <v>38</v>
      </c>
      <c r="F44" s="23">
        <f>SUM(B44:D44)</f>
        <v>1053.125</v>
      </c>
      <c r="G44" s="18"/>
    </row>
    <row r="45" spans="1:7">
      <c r="A45" s="26" t="s">
        <v>45</v>
      </c>
      <c r="B45" s="27"/>
      <c r="C45" s="28"/>
      <c r="D45" s="28"/>
      <c r="E45" s="29"/>
      <c r="F45" s="15"/>
      <c r="G45" s="18"/>
    </row>
    <row r="46" spans="1:7">
      <c r="A46" s="30" t="s">
        <v>46</v>
      </c>
      <c r="B46" s="31"/>
      <c r="C46" s="31"/>
      <c r="D46" s="31"/>
      <c r="E46" s="31"/>
      <c r="F46" s="8"/>
    </row>
    <row r="47" spans="1:7">
      <c r="A47" s="30" t="s">
        <v>47</v>
      </c>
      <c r="B47" s="31"/>
      <c r="C47" s="31"/>
      <c r="D47" s="31"/>
      <c r="E47" s="31"/>
      <c r="F47" s="8"/>
    </row>
    <row r="48" spans="1:7">
      <c r="A48" s="30" t="s">
        <v>42</v>
      </c>
      <c r="B48" s="31"/>
      <c r="C48" s="31"/>
      <c r="D48" s="31"/>
      <c r="E48" s="31"/>
      <c r="F48" s="8"/>
    </row>
    <row r="49" spans="1:6">
      <c r="A49" s="30" t="s">
        <v>44</v>
      </c>
      <c r="B49" s="31"/>
      <c r="C49" s="31"/>
      <c r="D49" s="31"/>
      <c r="E49" s="31"/>
      <c r="F49" s="8"/>
    </row>
  </sheetData>
  <pageMargins left="0.66700000000000004" right="0.66700000000000004" top="0.66700000000000004" bottom="0.72" header="0" footer="0"/>
  <pageSetup firstPageNumber="72" orientation="portrait" useFirstPageNumber="1" r:id="rId1"/>
  <headerFooter alignWithMargins="0"/>
  <ignoredErrors>
    <ignoredError sqref="C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tabc2</vt:lpstr>
      <vt:lpstr>tabc2!Print_Area_MI</vt:lpstr>
    </vt:vector>
  </TitlesOfParts>
  <Company>ERS\USDA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C2--Grapefruit: Production, by State, 1980/81 to date</dc:title>
  <dc:subject>Agricultural Economics</dc:subject>
  <dc:creator>Agnes Perez;Kristy Plattner</dc:creator>
  <cp:keywords>Grapefruit, production, Florida, California, Texas, Arizona, United States, Economics; Economic Research Service; ERS; U.S. Department of Agriculture; USDA</cp:keywords>
  <cp:lastModifiedBy>fredy.ballen</cp:lastModifiedBy>
  <dcterms:created xsi:type="dcterms:W3CDTF">2013-11-15T19:53:52Z</dcterms:created>
  <dcterms:modified xsi:type="dcterms:W3CDTF">2015-06-26T17:38:30Z</dcterms:modified>
</cp:coreProperties>
</file>